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0" windowWidth="14160" windowHeight="9540" tabRatio="735" activeTab="0"/>
  </bookViews>
  <sheets>
    <sheet name="Synthetic Option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<sst xmlns="http://schemas.openxmlformats.org/spreadsheetml/2006/main" count="36" uniqueCount="30">
  <si>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Stocks Price:</t>
  </si>
  <si>
    <t>Long Call Ask:</t>
  </si>
  <si>
    <t>Strike:</t>
  </si>
  <si>
    <t>Short Call Bid:</t>
  </si>
  <si>
    <t># Contracts:</t>
  </si>
  <si>
    <t xml:space="preserve"> </t>
  </si>
  <si>
    <t>Effective Stock Price:</t>
  </si>
  <si>
    <t>Stock Investment:</t>
  </si>
  <si>
    <t>Option Investment:</t>
  </si>
  <si>
    <t>Inputs</t>
  </si>
  <si>
    <t>Outputs</t>
  </si>
  <si>
    <t>Define Profit Range</t>
  </si>
  <si>
    <t>Return            (%)</t>
  </si>
  <si>
    <t>Profit / Loss</t>
  </si>
  <si>
    <t>Investment Returned at Expiration for Stock and Option Approaches</t>
  </si>
  <si>
    <r>
      <t xml:space="preserve">TripleScreenMethod.com </t>
    </r>
    <r>
      <rPr>
        <i/>
        <sz val="8"/>
        <rFont val="Arial"/>
        <family val="2"/>
      </rPr>
      <t xml:space="preserve"> by Ric Miller 6/18/05</t>
    </r>
  </si>
  <si>
    <t>Combinaton of Long Deep In-the-Money Call &amp; Short Out (or At)-of-the Money Call</t>
  </si>
  <si>
    <t>Shares:</t>
  </si>
  <si>
    <t>"Synthetic" Option Approach</t>
  </si>
  <si>
    <t>Covered Call Investment:</t>
  </si>
  <si>
    <t># Contracts for Covered Call</t>
  </si>
  <si>
    <t>Stock Approach (value)</t>
  </si>
  <si>
    <t>Traditonal Covered Call Approach (value)</t>
  </si>
  <si>
    <t xml:space="preserve">Covered Call: Long shares of stock &amp; </t>
  </si>
  <si>
    <t xml:space="preserve">   sell calls against those shares</t>
  </si>
  <si>
    <t>Synthetic Covered Call:  Long, deep in-the-money calls</t>
  </si>
  <si>
    <t xml:space="preserve">   sell at (or out) of the money calls against those shares</t>
  </si>
  <si>
    <t>"Synthetic" Covered Call</t>
  </si>
  <si>
    <t>Get Option Pricing at:</t>
  </si>
  <si>
    <t>http://finance.yahoo.com/q/op?s=GOOG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</si>
</sst>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"/>
    <numFmt numFmtId="169" formatCode="d\-mmm\-yyyy"/>
    <numFmt numFmtId="170" formatCode="dd\-mmm\-yy"/>
    <numFmt numFmtId="171" formatCode="mmmmm\-yy"/>
    <numFmt numFmtId="172" formatCode=".00%"/>
    <numFmt numFmtId="173" formatCode="0.0000"/>
    <numFmt numFmtId="174" formatCode="&quot;$&quot;#,##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.5"/>
      <name val="Arial"/>
      <family val="2"/>
    </font>
    <font>
      <b/>
      <sz val="8.75"/>
      <name val="Arial"/>
      <family val="2"/>
    </font>
    <font>
      <sz val="12"/>
      <name val="Arial"/>
      <family val="0"/>
    </font>
    <font>
      <sz val="8.7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/>
    </xf>
    <xf numFmtId="0" fontId="3" fillId="2" borderId="6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3" fillId="2" borderId="7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7" fillId="3" borderId="0" xfId="0" applyFont="1" applyFill="1" applyBorder="1" applyAlignment="1">
      <alignment horizontal="center" vertical="center"/>
    </xf>
    <xf numFmtId="4" fontId="0" fillId="3" borderId="4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3" borderId="0" xfId="0" applyFill="1" applyAlignment="1">
      <alignment vertical="top"/>
    </xf>
    <xf numFmtId="0" fontId="6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4" fontId="0" fillId="5" borderId="4" xfId="0" applyNumberForma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3" fontId="10" fillId="5" borderId="14" xfId="0" applyNumberFormat="1" applyFont="1" applyFill="1" applyBorder="1" applyAlignment="1">
      <alignment/>
    </xf>
    <xf numFmtId="3" fontId="10" fillId="5" borderId="15" xfId="0" applyNumberFormat="1" applyFont="1" applyFill="1" applyBorder="1" applyAlignment="1">
      <alignment/>
    </xf>
    <xf numFmtId="3" fontId="10" fillId="5" borderId="16" xfId="0" applyNumberFormat="1" applyFont="1" applyFill="1" applyBorder="1" applyAlignment="1">
      <alignment/>
    </xf>
    <xf numFmtId="0" fontId="0" fillId="3" borderId="0" xfId="0" applyFill="1" applyAlignment="1">
      <alignment horizontal="left" vertical="top"/>
    </xf>
    <xf numFmtId="0" fontId="8" fillId="3" borderId="0" xfId="0" applyFont="1" applyFill="1" applyBorder="1" applyAlignment="1">
      <alignment horizontal="center" vertical="center" wrapText="1"/>
    </xf>
    <xf numFmtId="3" fontId="10" fillId="3" borderId="0" xfId="0" applyNumberFormat="1" applyFont="1" applyFill="1" applyBorder="1" applyAlignment="1">
      <alignment/>
    </xf>
    <xf numFmtId="10" fontId="10" fillId="3" borderId="0" xfId="0" applyNumberFormat="1" applyFont="1" applyFill="1" applyBorder="1" applyAlignment="1">
      <alignment/>
    </xf>
    <xf numFmtId="0" fontId="10" fillId="3" borderId="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10" fontId="10" fillId="5" borderId="15" xfId="0" applyNumberFormat="1" applyFont="1" applyFill="1" applyBorder="1" applyAlignment="1">
      <alignment/>
    </xf>
    <xf numFmtId="0" fontId="10" fillId="2" borderId="13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 vertical="center" wrapText="1"/>
    </xf>
    <xf numFmtId="10" fontId="10" fillId="5" borderId="14" xfId="0" applyNumberFormat="1" applyFont="1" applyFill="1" applyBorder="1" applyAlignment="1">
      <alignment/>
    </xf>
    <xf numFmtId="10" fontId="10" fillId="5" borderId="18" xfId="0" applyNumberFormat="1" applyFont="1" applyFill="1" applyBorder="1" applyAlignment="1">
      <alignment/>
    </xf>
    <xf numFmtId="0" fontId="8" fillId="4" borderId="19" xfId="0" applyFont="1" applyFill="1" applyBorder="1" applyAlignment="1">
      <alignment horizontal="center" vertical="center" wrapText="1"/>
    </xf>
    <xf numFmtId="10" fontId="10" fillId="5" borderId="20" xfId="0" applyNumberFormat="1" applyFont="1" applyFill="1" applyBorder="1" applyAlignment="1">
      <alignment/>
    </xf>
    <xf numFmtId="0" fontId="8" fillId="4" borderId="21" xfId="0" applyFont="1" applyFill="1" applyBorder="1" applyAlignment="1">
      <alignment horizontal="center" vertical="center" wrapText="1"/>
    </xf>
    <xf numFmtId="10" fontId="10" fillId="5" borderId="16" xfId="0" applyNumberFormat="1" applyFont="1" applyFill="1" applyBorder="1" applyAlignment="1">
      <alignment/>
    </xf>
    <xf numFmtId="10" fontId="10" fillId="5" borderId="22" xfId="0" applyNumberFormat="1" applyFont="1" applyFill="1" applyBorder="1" applyAlignment="1">
      <alignment/>
    </xf>
    <xf numFmtId="0" fontId="10" fillId="2" borderId="4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"Synthetic" Covered Call Versus Other Approaches</a:t>
            </a:r>
          </a:p>
        </c:rich>
      </c:tx>
      <c:layout>
        <c:manualLayout>
          <c:xMode val="factor"/>
          <c:yMode val="factor"/>
          <c:x val="0.05225"/>
          <c:y val="0.06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3075"/>
          <c:w val="0.92075"/>
          <c:h val="0.71575"/>
        </c:manualLayout>
      </c:layout>
      <c:scatterChart>
        <c:scatterStyle val="smoothMarker"/>
        <c:varyColors val="0"/>
        <c:ser>
          <c:idx val="0"/>
          <c:order val="0"/>
          <c:tx>
            <c:v>Stock Profit/Loss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'Synthetic Option'!$A$19:$A$49</c:f>
              <c:numCache/>
            </c:numRef>
          </c:xVal>
          <c:yVal>
            <c:numRef>
              <c:f>'Synthetic Option'!$C$19:$C$49</c:f>
              <c:numCache/>
            </c:numRef>
          </c:yVal>
          <c:smooth val="1"/>
        </c:ser>
        <c:ser>
          <c:idx val="1"/>
          <c:order val="1"/>
          <c:tx>
            <c:v>Synthetic Option Profit/Loss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'Synthetic Option'!$A$19:$A$49</c:f>
              <c:numCache/>
            </c:numRef>
          </c:xVal>
          <c:yVal>
            <c:numRef>
              <c:f>'Synthetic Option'!$F$19:$F$49</c:f>
              <c:numCache/>
            </c:numRef>
          </c:yVal>
          <c:smooth val="1"/>
        </c:ser>
        <c:ser>
          <c:idx val="2"/>
          <c:order val="2"/>
          <c:tx>
            <c:v>Covered Call Profit/Loss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'Synthetic Option'!$A$19:$A$49</c:f>
              <c:numCache/>
            </c:numRef>
          </c:xVal>
          <c:yVal>
            <c:numRef>
              <c:f>'Synthetic Option'!$I$19:$I$49</c:f>
              <c:numCache/>
            </c:numRef>
          </c:yVal>
          <c:smooth val="1"/>
        </c:ser>
        <c:axId val="576888"/>
        <c:axId val="5191993"/>
      </c:scatterChart>
      <c:valAx>
        <c:axId val="576888"/>
        <c:scaling>
          <c:orientation val="minMax"/>
          <c:max val="96"/>
          <c:min val="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Stock Price at Expiration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5191993"/>
        <c:crosses val="autoZero"/>
        <c:crossBetween val="midCat"/>
        <c:dispUnits/>
        <c:majorUnit val="2"/>
      </c:valAx>
      <c:valAx>
        <c:axId val="5191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Profit / Loss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5768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"Synthetic" Covered Call Versus Other Approaches</a:t>
            </a:r>
          </a:p>
        </c:rich>
      </c:tx>
      <c:layout>
        <c:manualLayout>
          <c:xMode val="factor"/>
          <c:yMode val="factor"/>
          <c:x val="0.08125"/>
          <c:y val="0.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3475"/>
          <c:w val="0.922"/>
          <c:h val="0.70125"/>
        </c:manualLayout>
      </c:layout>
      <c:scatterChart>
        <c:scatterStyle val="smoothMarker"/>
        <c:varyColors val="0"/>
        <c:ser>
          <c:idx val="0"/>
          <c:order val="0"/>
          <c:tx>
            <c:v>Stock % Return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'Synthetic Option'!$A$19:$A$49</c:f>
              <c:numCache>
                <c:ptCount val="31"/>
                <c:pt idx="0">
                  <c:v>66</c:v>
                </c:pt>
                <c:pt idx="1">
                  <c:v>67</c:v>
                </c:pt>
                <c:pt idx="2">
                  <c:v>68</c:v>
                </c:pt>
                <c:pt idx="3">
                  <c:v>69</c:v>
                </c:pt>
                <c:pt idx="4">
                  <c:v>70</c:v>
                </c:pt>
                <c:pt idx="5">
                  <c:v>71</c:v>
                </c:pt>
                <c:pt idx="6">
                  <c:v>72</c:v>
                </c:pt>
                <c:pt idx="7">
                  <c:v>73</c:v>
                </c:pt>
                <c:pt idx="8">
                  <c:v>74</c:v>
                </c:pt>
                <c:pt idx="9">
                  <c:v>75</c:v>
                </c:pt>
                <c:pt idx="10">
                  <c:v>76</c:v>
                </c:pt>
                <c:pt idx="11">
                  <c:v>77</c:v>
                </c:pt>
                <c:pt idx="12">
                  <c:v>78</c:v>
                </c:pt>
                <c:pt idx="13">
                  <c:v>79</c:v>
                </c:pt>
                <c:pt idx="14">
                  <c:v>80</c:v>
                </c:pt>
                <c:pt idx="15">
                  <c:v>81</c:v>
                </c:pt>
                <c:pt idx="16">
                  <c:v>82</c:v>
                </c:pt>
                <c:pt idx="17">
                  <c:v>83</c:v>
                </c:pt>
                <c:pt idx="18">
                  <c:v>84</c:v>
                </c:pt>
                <c:pt idx="19">
                  <c:v>85</c:v>
                </c:pt>
                <c:pt idx="20">
                  <c:v>86</c:v>
                </c:pt>
                <c:pt idx="21">
                  <c:v>87</c:v>
                </c:pt>
                <c:pt idx="22">
                  <c:v>88</c:v>
                </c:pt>
                <c:pt idx="23">
                  <c:v>89</c:v>
                </c:pt>
                <c:pt idx="24">
                  <c:v>90</c:v>
                </c:pt>
                <c:pt idx="25">
                  <c:v>91</c:v>
                </c:pt>
                <c:pt idx="26">
                  <c:v>92</c:v>
                </c:pt>
                <c:pt idx="27">
                  <c:v>93</c:v>
                </c:pt>
                <c:pt idx="28">
                  <c:v>94</c:v>
                </c:pt>
                <c:pt idx="29">
                  <c:v>95</c:v>
                </c:pt>
                <c:pt idx="30">
                  <c:v>96</c:v>
                </c:pt>
              </c:numCache>
            </c:numRef>
          </c:xVal>
          <c:yVal>
            <c:numRef>
              <c:f>'Synthetic Option'!$D$19:$D$49</c:f>
              <c:numCache>
                <c:ptCount val="31"/>
                <c:pt idx="0">
                  <c:v>-0.1855873642645607</c:v>
                </c:pt>
                <c:pt idx="1">
                  <c:v>-0.1732477788746298</c:v>
                </c:pt>
                <c:pt idx="2">
                  <c:v>-0.16090819348469892</c:v>
                </c:pt>
                <c:pt idx="3">
                  <c:v>-0.14856860809476802</c:v>
                </c:pt>
                <c:pt idx="4">
                  <c:v>-0.1362290227048371</c:v>
                </c:pt>
                <c:pt idx="5">
                  <c:v>-0.12388943731490622</c:v>
                </c:pt>
                <c:pt idx="6">
                  <c:v>-0.11154985192497532</c:v>
                </c:pt>
                <c:pt idx="7">
                  <c:v>-0.09921026653504442</c:v>
                </c:pt>
                <c:pt idx="8">
                  <c:v>-0.08687068114511352</c:v>
                </c:pt>
                <c:pt idx="9">
                  <c:v>-0.07453109575518263</c:v>
                </c:pt>
                <c:pt idx="10">
                  <c:v>-0.06219151036525173</c:v>
                </c:pt>
                <c:pt idx="11">
                  <c:v>-0.04985192497532083</c:v>
                </c:pt>
                <c:pt idx="12">
                  <c:v>-0.03751233958538993</c:v>
                </c:pt>
                <c:pt idx="13">
                  <c:v>-0.025172754195459033</c:v>
                </c:pt>
                <c:pt idx="14">
                  <c:v>-0.012833168805528134</c:v>
                </c:pt>
                <c:pt idx="15">
                  <c:v>-0.0004935834155972359</c:v>
                </c:pt>
                <c:pt idx="16">
                  <c:v>0.011846001974333662</c:v>
                </c:pt>
                <c:pt idx="17">
                  <c:v>0.02418558736426456</c:v>
                </c:pt>
                <c:pt idx="18">
                  <c:v>0.03652517275419546</c:v>
                </c:pt>
                <c:pt idx="19">
                  <c:v>0.04886475814412636</c:v>
                </c:pt>
                <c:pt idx="20">
                  <c:v>0.06120434353405726</c:v>
                </c:pt>
                <c:pt idx="21">
                  <c:v>0.07354392892398816</c:v>
                </c:pt>
                <c:pt idx="22">
                  <c:v>0.08588351431391905</c:v>
                </c:pt>
                <c:pt idx="23">
                  <c:v>0.09822309970384994</c:v>
                </c:pt>
                <c:pt idx="24">
                  <c:v>0.11056268509378085</c:v>
                </c:pt>
                <c:pt idx="25">
                  <c:v>0.12290227048371175</c:v>
                </c:pt>
                <c:pt idx="26">
                  <c:v>0.13524185587364265</c:v>
                </c:pt>
                <c:pt idx="27">
                  <c:v>0.14758144126357353</c:v>
                </c:pt>
                <c:pt idx="28">
                  <c:v>0.15992102665350444</c:v>
                </c:pt>
                <c:pt idx="29">
                  <c:v>0.17226061204343535</c:v>
                </c:pt>
                <c:pt idx="30">
                  <c:v>0.18460019743336623</c:v>
                </c:pt>
              </c:numCache>
            </c:numRef>
          </c:yVal>
          <c:smooth val="1"/>
        </c:ser>
        <c:ser>
          <c:idx val="1"/>
          <c:order val="1"/>
          <c:tx>
            <c:v>Synthetic Option % Return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'Synthetic Option'!$A$19:$A$49</c:f>
              <c:numCache>
                <c:ptCount val="31"/>
                <c:pt idx="0">
                  <c:v>66</c:v>
                </c:pt>
                <c:pt idx="1">
                  <c:v>67</c:v>
                </c:pt>
                <c:pt idx="2">
                  <c:v>68</c:v>
                </c:pt>
                <c:pt idx="3">
                  <c:v>69</c:v>
                </c:pt>
                <c:pt idx="4">
                  <c:v>70</c:v>
                </c:pt>
                <c:pt idx="5">
                  <c:v>71</c:v>
                </c:pt>
                <c:pt idx="6">
                  <c:v>72</c:v>
                </c:pt>
                <c:pt idx="7">
                  <c:v>73</c:v>
                </c:pt>
                <c:pt idx="8">
                  <c:v>74</c:v>
                </c:pt>
                <c:pt idx="9">
                  <c:v>75</c:v>
                </c:pt>
                <c:pt idx="10">
                  <c:v>76</c:v>
                </c:pt>
                <c:pt idx="11">
                  <c:v>77</c:v>
                </c:pt>
                <c:pt idx="12">
                  <c:v>78</c:v>
                </c:pt>
                <c:pt idx="13">
                  <c:v>79</c:v>
                </c:pt>
                <c:pt idx="14">
                  <c:v>80</c:v>
                </c:pt>
                <c:pt idx="15">
                  <c:v>81</c:v>
                </c:pt>
                <c:pt idx="16">
                  <c:v>82</c:v>
                </c:pt>
                <c:pt idx="17">
                  <c:v>83</c:v>
                </c:pt>
                <c:pt idx="18">
                  <c:v>84</c:v>
                </c:pt>
                <c:pt idx="19">
                  <c:v>85</c:v>
                </c:pt>
                <c:pt idx="20">
                  <c:v>86</c:v>
                </c:pt>
                <c:pt idx="21">
                  <c:v>87</c:v>
                </c:pt>
                <c:pt idx="22">
                  <c:v>88</c:v>
                </c:pt>
                <c:pt idx="23">
                  <c:v>89</c:v>
                </c:pt>
                <c:pt idx="24">
                  <c:v>90</c:v>
                </c:pt>
                <c:pt idx="25">
                  <c:v>91</c:v>
                </c:pt>
                <c:pt idx="26">
                  <c:v>92</c:v>
                </c:pt>
                <c:pt idx="27">
                  <c:v>93</c:v>
                </c:pt>
                <c:pt idx="28">
                  <c:v>94</c:v>
                </c:pt>
                <c:pt idx="29">
                  <c:v>95</c:v>
                </c:pt>
                <c:pt idx="30">
                  <c:v>96</c:v>
                </c:pt>
              </c:numCache>
            </c:numRef>
          </c:xVal>
          <c:yVal>
            <c:numRef>
              <c:f>'Synthetic Option'!$G$19:$G$49</c:f>
              <c:numCache>
                <c:ptCount val="3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-0.8809523809523809</c:v>
                </c:pt>
                <c:pt idx="6">
                  <c:v>-0.7619047619047619</c:v>
                </c:pt>
                <c:pt idx="7">
                  <c:v>-0.6428571428571429</c:v>
                </c:pt>
                <c:pt idx="8">
                  <c:v>-0.5238095238095238</c:v>
                </c:pt>
                <c:pt idx="9">
                  <c:v>-0.40476190476190477</c:v>
                </c:pt>
                <c:pt idx="10">
                  <c:v>-0.2857142857142857</c:v>
                </c:pt>
                <c:pt idx="11">
                  <c:v>-0.16666666666666666</c:v>
                </c:pt>
                <c:pt idx="12">
                  <c:v>-0.047619047619047616</c:v>
                </c:pt>
                <c:pt idx="13">
                  <c:v>0.07142857142857142</c:v>
                </c:pt>
                <c:pt idx="14">
                  <c:v>0.19047619047619047</c:v>
                </c:pt>
                <c:pt idx="15">
                  <c:v>0.19047619047619047</c:v>
                </c:pt>
                <c:pt idx="16">
                  <c:v>0.19047619047619047</c:v>
                </c:pt>
                <c:pt idx="17">
                  <c:v>0.19047619047619047</c:v>
                </c:pt>
                <c:pt idx="18">
                  <c:v>0.19047619047619047</c:v>
                </c:pt>
                <c:pt idx="19">
                  <c:v>0.19047619047619047</c:v>
                </c:pt>
                <c:pt idx="20">
                  <c:v>0.19047619047619047</c:v>
                </c:pt>
                <c:pt idx="21">
                  <c:v>0.19047619047619047</c:v>
                </c:pt>
                <c:pt idx="22">
                  <c:v>0.19047619047619047</c:v>
                </c:pt>
                <c:pt idx="23">
                  <c:v>0.19047619047619047</c:v>
                </c:pt>
                <c:pt idx="24">
                  <c:v>0.19047619047619047</c:v>
                </c:pt>
                <c:pt idx="25">
                  <c:v>0.19047619047619047</c:v>
                </c:pt>
                <c:pt idx="26">
                  <c:v>0.19047619047619047</c:v>
                </c:pt>
                <c:pt idx="27">
                  <c:v>0.19047619047619047</c:v>
                </c:pt>
                <c:pt idx="28">
                  <c:v>0.19047619047619047</c:v>
                </c:pt>
                <c:pt idx="29">
                  <c:v>0.19047619047619047</c:v>
                </c:pt>
                <c:pt idx="30">
                  <c:v>0.19047619047619047</c:v>
                </c:pt>
              </c:numCache>
            </c:numRef>
          </c:yVal>
          <c:smooth val="1"/>
        </c:ser>
        <c:ser>
          <c:idx val="2"/>
          <c:order val="2"/>
          <c:tx>
            <c:v>Covered Call % Return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'Synthetic Option'!$A$19:$A$49</c:f>
              <c:numCache>
                <c:ptCount val="31"/>
                <c:pt idx="0">
                  <c:v>66</c:v>
                </c:pt>
                <c:pt idx="1">
                  <c:v>67</c:v>
                </c:pt>
                <c:pt idx="2">
                  <c:v>68</c:v>
                </c:pt>
                <c:pt idx="3">
                  <c:v>69</c:v>
                </c:pt>
                <c:pt idx="4">
                  <c:v>70</c:v>
                </c:pt>
                <c:pt idx="5">
                  <c:v>71</c:v>
                </c:pt>
                <c:pt idx="6">
                  <c:v>72</c:v>
                </c:pt>
                <c:pt idx="7">
                  <c:v>73</c:v>
                </c:pt>
                <c:pt idx="8">
                  <c:v>74</c:v>
                </c:pt>
                <c:pt idx="9">
                  <c:v>75</c:v>
                </c:pt>
                <c:pt idx="10">
                  <c:v>76</c:v>
                </c:pt>
                <c:pt idx="11">
                  <c:v>77</c:v>
                </c:pt>
                <c:pt idx="12">
                  <c:v>78</c:v>
                </c:pt>
                <c:pt idx="13">
                  <c:v>79</c:v>
                </c:pt>
                <c:pt idx="14">
                  <c:v>80</c:v>
                </c:pt>
                <c:pt idx="15">
                  <c:v>81</c:v>
                </c:pt>
                <c:pt idx="16">
                  <c:v>82</c:v>
                </c:pt>
                <c:pt idx="17">
                  <c:v>83</c:v>
                </c:pt>
                <c:pt idx="18">
                  <c:v>84</c:v>
                </c:pt>
                <c:pt idx="19">
                  <c:v>85</c:v>
                </c:pt>
                <c:pt idx="20">
                  <c:v>86</c:v>
                </c:pt>
                <c:pt idx="21">
                  <c:v>87</c:v>
                </c:pt>
                <c:pt idx="22">
                  <c:v>88</c:v>
                </c:pt>
                <c:pt idx="23">
                  <c:v>89</c:v>
                </c:pt>
                <c:pt idx="24">
                  <c:v>90</c:v>
                </c:pt>
                <c:pt idx="25">
                  <c:v>91</c:v>
                </c:pt>
                <c:pt idx="26">
                  <c:v>92</c:v>
                </c:pt>
                <c:pt idx="27">
                  <c:v>93</c:v>
                </c:pt>
                <c:pt idx="28">
                  <c:v>94</c:v>
                </c:pt>
                <c:pt idx="29">
                  <c:v>95</c:v>
                </c:pt>
                <c:pt idx="30">
                  <c:v>96</c:v>
                </c:pt>
              </c:numCache>
            </c:numRef>
          </c:xVal>
          <c:yVal>
            <c:numRef>
              <c:f>'Synthetic Option'!$J$19:$J$49</c:f>
              <c:numCache>
                <c:ptCount val="31"/>
                <c:pt idx="0">
                  <c:v>-0.15319476520400307</c:v>
                </c:pt>
                <c:pt idx="1">
                  <c:v>-0.1403643828586092</c:v>
                </c:pt>
                <c:pt idx="2">
                  <c:v>-0.12753400051321528</c:v>
                </c:pt>
                <c:pt idx="3">
                  <c:v>-0.1147036181678214</c:v>
                </c:pt>
                <c:pt idx="4">
                  <c:v>-0.10187323582242751</c:v>
                </c:pt>
                <c:pt idx="5">
                  <c:v>-0.08904285347703361</c:v>
                </c:pt>
                <c:pt idx="6">
                  <c:v>-0.07621247113163972</c:v>
                </c:pt>
                <c:pt idx="7">
                  <c:v>-0.06338208878624584</c:v>
                </c:pt>
                <c:pt idx="8">
                  <c:v>-0.05055170644085194</c:v>
                </c:pt>
                <c:pt idx="9">
                  <c:v>-0.037721324095458045</c:v>
                </c:pt>
                <c:pt idx="10">
                  <c:v>-0.024890941750064153</c:v>
                </c:pt>
                <c:pt idx="11">
                  <c:v>-0.01206055940467026</c:v>
                </c:pt>
                <c:pt idx="12">
                  <c:v>0.0007698229407236335</c:v>
                </c:pt>
                <c:pt idx="13">
                  <c:v>0.013600205286117526</c:v>
                </c:pt>
                <c:pt idx="14">
                  <c:v>0.026430587631511418</c:v>
                </c:pt>
                <c:pt idx="15">
                  <c:v>0.026430587631511418</c:v>
                </c:pt>
                <c:pt idx="16">
                  <c:v>0.026430587631511418</c:v>
                </c:pt>
                <c:pt idx="17">
                  <c:v>0.026430587631511418</c:v>
                </c:pt>
                <c:pt idx="18">
                  <c:v>0.026430587631511418</c:v>
                </c:pt>
                <c:pt idx="19">
                  <c:v>0.026430587631511418</c:v>
                </c:pt>
                <c:pt idx="20">
                  <c:v>0.026430587631511418</c:v>
                </c:pt>
                <c:pt idx="21">
                  <c:v>0.026430587631511418</c:v>
                </c:pt>
                <c:pt idx="22">
                  <c:v>0.026430587631511418</c:v>
                </c:pt>
                <c:pt idx="23">
                  <c:v>0.026430587631511418</c:v>
                </c:pt>
                <c:pt idx="24">
                  <c:v>0.026430587631511418</c:v>
                </c:pt>
                <c:pt idx="25">
                  <c:v>0.026430587631511418</c:v>
                </c:pt>
                <c:pt idx="26">
                  <c:v>0.026430587631511418</c:v>
                </c:pt>
                <c:pt idx="27">
                  <c:v>0.026430587631511418</c:v>
                </c:pt>
                <c:pt idx="28">
                  <c:v>0.026430587631511418</c:v>
                </c:pt>
                <c:pt idx="29">
                  <c:v>0.026430587631511418</c:v>
                </c:pt>
                <c:pt idx="30">
                  <c:v>0.026430587631511418</c:v>
                </c:pt>
              </c:numCache>
            </c:numRef>
          </c:yVal>
          <c:smooth val="1"/>
        </c:ser>
        <c:axId val="46727938"/>
        <c:axId val="17898259"/>
      </c:scatterChart>
      <c:valAx>
        <c:axId val="46727938"/>
        <c:scaling>
          <c:orientation val="minMax"/>
          <c:max val="96"/>
          <c:min val="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Stock Price at Expiration</a:t>
                </a:r>
              </a:p>
            </c:rich>
          </c:tx>
          <c:layout>
            <c:manualLayout>
              <c:xMode val="factor"/>
              <c:yMode val="factor"/>
              <c:x val="0.007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7898259"/>
        <c:crosses val="autoZero"/>
        <c:crossBetween val="midCat"/>
        <c:dispUnits/>
        <c:majorUnit val="2"/>
      </c:valAx>
      <c:valAx>
        <c:axId val="17898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Profit / Loss (%)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67279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2"/>
          <c:y val="0.7622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0</xdr:row>
      <xdr:rowOff>0</xdr:rowOff>
    </xdr:from>
    <xdr:to>
      <xdr:col>21</xdr:col>
      <xdr:colOff>123825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7219950" y="0"/>
        <a:ext cx="60864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352425</xdr:colOff>
      <xdr:row>16</xdr:row>
      <xdr:rowOff>47625</xdr:rowOff>
    </xdr:from>
    <xdr:to>
      <xdr:col>21</xdr:col>
      <xdr:colOff>438150</xdr:colOff>
      <xdr:row>36</xdr:row>
      <xdr:rowOff>85725</xdr:rowOff>
    </xdr:to>
    <xdr:graphicFrame>
      <xdr:nvGraphicFramePr>
        <xdr:cNvPr id="2" name="Chart 2"/>
        <xdr:cNvGraphicFramePr/>
      </xdr:nvGraphicFramePr>
      <xdr:xfrm>
        <a:off x="7439025" y="4219575"/>
        <a:ext cx="61817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9"/>
  <sheetViews>
    <sheetView tabSelected="1" workbookViewId="0" topLeftCell="A2">
      <selection activeCell="A17" sqref="A17:J49"/>
    </sheetView>
  </sheetViews>
  <sheetFormatPr defaultColWidth="9.140625" defaultRowHeight="12.75"/>
  <cols>
    <col min="1" max="1" width="8.7109375" style="0" customWidth="1"/>
    <col min="2" max="2" width="10.140625" style="0" bestFit="1" customWidth="1"/>
    <col min="3" max="3" width="9.7109375" style="0" bestFit="1" customWidth="1"/>
    <col min="4" max="5" width="10.7109375" style="0" customWidth="1"/>
    <col min="6" max="7" width="9.7109375" style="0" customWidth="1"/>
    <col min="8" max="8" width="10.7109375" style="0" customWidth="1"/>
    <col min="9" max="11" width="8.7109375" style="0" customWidth="1"/>
  </cols>
  <sheetData>
    <row r="1" spans="1:32" ht="15.75">
      <c r="A1" s="19" t="s">
        <v>16</v>
      </c>
      <c r="B1" s="20"/>
      <c r="C1" s="20"/>
      <c r="D1" s="20"/>
      <c r="E1" s="20"/>
      <c r="F1" s="20"/>
      <c r="G1" s="20"/>
      <c r="H1" s="20"/>
      <c r="I1" s="20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:32" ht="12.75">
      <c r="A2" s="20"/>
      <c r="B2" s="20" t="s">
        <v>15</v>
      </c>
      <c r="C2" s="20"/>
      <c r="D2" s="20"/>
      <c r="E2" s="20"/>
      <c r="F2" s="20"/>
      <c r="G2" s="20"/>
      <c r="H2" s="20"/>
      <c r="I2" s="20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ht="13.5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</row>
    <row r="4" spans="1:32" ht="13.5" thickBot="1">
      <c r="A4" s="10"/>
      <c r="B4" s="11" t="s">
        <v>9</v>
      </c>
      <c r="C4" s="12"/>
      <c r="D4" s="12"/>
      <c r="E4" s="13" t="s">
        <v>10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:32" ht="24">
      <c r="A5" s="1" t="s">
        <v>0</v>
      </c>
      <c r="B5" s="25">
        <v>82.58</v>
      </c>
      <c r="C5" s="14"/>
      <c r="D5" s="2" t="s">
        <v>7</v>
      </c>
      <c r="E5" s="30">
        <f>B6*B5</f>
        <v>41290</v>
      </c>
      <c r="F5" s="18"/>
      <c r="G5" s="18" t="s">
        <v>23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1:32" ht="12.75">
      <c r="A6" s="1" t="s">
        <v>17</v>
      </c>
      <c r="B6" s="26">
        <v>500</v>
      </c>
      <c r="C6" s="14"/>
      <c r="D6" s="4"/>
      <c r="E6" s="16"/>
      <c r="F6" s="18"/>
      <c r="G6" s="18" t="s">
        <v>24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36">
      <c r="A7" s="1" t="s">
        <v>1</v>
      </c>
      <c r="B7" s="26">
        <v>13.8</v>
      </c>
      <c r="C7" s="14"/>
      <c r="D7" s="2" t="s">
        <v>6</v>
      </c>
      <c r="E7" s="31">
        <f>B8+B7-B10</f>
        <v>78.1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13.5" thickBot="1">
      <c r="A8" s="1" t="s">
        <v>2</v>
      </c>
      <c r="B8" s="27">
        <v>70</v>
      </c>
      <c r="C8" s="14"/>
      <c r="D8" s="2" t="s">
        <v>5</v>
      </c>
      <c r="E8" s="16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36.75" thickBot="1">
      <c r="A9" s="3"/>
      <c r="B9" s="21"/>
      <c r="C9" s="14" t="s">
        <v>5</v>
      </c>
      <c r="D9" s="2" t="s">
        <v>27</v>
      </c>
      <c r="E9" s="16"/>
      <c r="F9" s="18"/>
      <c r="G9" s="18" t="s">
        <v>25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24">
      <c r="A10" s="1" t="s">
        <v>3</v>
      </c>
      <c r="B10" s="28">
        <v>5.7</v>
      </c>
      <c r="C10" s="14"/>
      <c r="D10" s="2" t="s">
        <v>8</v>
      </c>
      <c r="E10" s="30">
        <f>B15*100*(B7-B10)</f>
        <v>4050.000000000001</v>
      </c>
      <c r="F10" s="18"/>
      <c r="G10" s="24" t="s">
        <v>26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3.5" thickBot="1">
      <c r="A11" s="1" t="s">
        <v>2</v>
      </c>
      <c r="B11" s="27">
        <v>80</v>
      </c>
      <c r="C11" s="14"/>
      <c r="D11" s="2"/>
      <c r="E11" s="22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2.75">
      <c r="A12" s="3"/>
      <c r="B12" s="21"/>
      <c r="C12" s="14"/>
      <c r="D12" s="4"/>
      <c r="E12" s="16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36">
      <c r="A13" s="1"/>
      <c r="B13" s="21"/>
      <c r="C13" s="14"/>
      <c r="D13" s="2" t="s">
        <v>19</v>
      </c>
      <c r="E13" s="30">
        <f>E5-(TRUNC(B6/100))*100*B10</f>
        <v>38440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13.5" thickBot="1">
      <c r="A14" s="5"/>
      <c r="B14" s="21"/>
      <c r="C14" s="14"/>
      <c r="D14" s="6"/>
      <c r="E14" s="16"/>
      <c r="F14" s="18"/>
      <c r="G14" s="18" t="s">
        <v>28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36.75" thickBot="1">
      <c r="A15" s="7" t="s">
        <v>4</v>
      </c>
      <c r="B15" s="29">
        <v>5</v>
      </c>
      <c r="C15" s="15"/>
      <c r="D15" s="8" t="s">
        <v>20</v>
      </c>
      <c r="E15" s="32">
        <f>TRUNC(B6/100)</f>
        <v>5</v>
      </c>
      <c r="F15" s="18"/>
      <c r="G15" s="18"/>
      <c r="H15" s="36" t="s">
        <v>29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13.5" thickBot="1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ht="19.5" customHeight="1" thickBot="1">
      <c r="A17" s="53" t="s">
        <v>14</v>
      </c>
      <c r="B17" s="54"/>
      <c r="C17" s="54"/>
      <c r="D17" s="54"/>
      <c r="E17" s="54"/>
      <c r="F17" s="54"/>
      <c r="G17" s="54"/>
      <c r="H17" s="54"/>
      <c r="I17" s="54"/>
      <c r="J17" s="54"/>
      <c r="K17" s="23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ht="60.75" thickBot="1">
      <c r="A18" s="1" t="s">
        <v>11</v>
      </c>
      <c r="B18" s="2" t="s">
        <v>21</v>
      </c>
      <c r="C18" s="2" t="s">
        <v>13</v>
      </c>
      <c r="D18" s="9" t="s">
        <v>12</v>
      </c>
      <c r="E18" s="2" t="s">
        <v>18</v>
      </c>
      <c r="F18" s="2" t="s">
        <v>13</v>
      </c>
      <c r="G18" s="9" t="s">
        <v>12</v>
      </c>
      <c r="H18" s="1" t="s">
        <v>22</v>
      </c>
      <c r="I18" s="2" t="s">
        <v>13</v>
      </c>
      <c r="J18" s="9" t="s">
        <v>12</v>
      </c>
      <c r="K18" s="41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2.75">
      <c r="A19" s="44">
        <f>TRUNC($B$5)-15</f>
        <v>67</v>
      </c>
      <c r="B19" s="33">
        <f>A19*$B$6</f>
        <v>33500</v>
      </c>
      <c r="C19" s="33">
        <f>B19-$E$5</f>
        <v>-7790</v>
      </c>
      <c r="D19" s="45">
        <f>(C19/$E$5)</f>
        <v>-0.1886655364495035</v>
      </c>
      <c r="E19" s="33">
        <f>IF(A19&lt;=$B$8,0,IF(A19&lt;=$B$11,(A19-$B$8)*$B$15*100,($B$11-$B$8)*$B$15*100))</f>
        <v>0</v>
      </c>
      <c r="F19" s="33">
        <f>E19-$E$10</f>
        <v>-4050.000000000001</v>
      </c>
      <c r="G19" s="45">
        <f>F19/$E$10</f>
        <v>-1</v>
      </c>
      <c r="H19" s="33">
        <f>IF(A19&lt;=$B$11,$B$6*A19+$E$15*100*$B$10,($B$6*A19+$E$15*100*$B$10-(A19-$B$11)*$B$6))</f>
        <v>36350</v>
      </c>
      <c r="I19" s="33">
        <f>H19-$E$5</f>
        <v>-4940</v>
      </c>
      <c r="J19" s="46">
        <f>I19/$E$13</f>
        <v>-0.12851196670135276</v>
      </c>
      <c r="K19" s="52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2.75">
      <c r="A20" s="47">
        <f>TRUNC($B$5)-14</f>
        <v>68</v>
      </c>
      <c r="B20" s="34">
        <f aca="true" t="shared" si="0" ref="B20:B49">A20*$B$6</f>
        <v>34000</v>
      </c>
      <c r="C20" s="34">
        <f aca="true" t="shared" si="1" ref="C20:C49">B20-$E$5</f>
        <v>-7290</v>
      </c>
      <c r="D20" s="42">
        <f aca="true" t="shared" si="2" ref="D20:D49">(C20/$E$5)</f>
        <v>-0.17655606684427222</v>
      </c>
      <c r="E20" s="34">
        <f aca="true" t="shared" si="3" ref="E20:E33">IF(A20&lt;=$B$8,0,IF(A20&lt;=$B$11,(A20-$B$8)*$B$15*100,($B$11-$B$8)*$B$15*100))</f>
        <v>0</v>
      </c>
      <c r="F20" s="34">
        <f aca="true" t="shared" si="4" ref="F20:F49">E20-$E$10</f>
        <v>-4050.000000000001</v>
      </c>
      <c r="G20" s="42">
        <f aca="true" t="shared" si="5" ref="G20:G49">F20/$E$10</f>
        <v>-1</v>
      </c>
      <c r="H20" s="34">
        <f aca="true" t="shared" si="6" ref="H20:H33">IF(A20&lt;=$B$11,$B$6*A20+$E$15*100*$B$10,($B$6*A20+$E$15*100*$B$10-(A20-$B$11)*$B$6))</f>
        <v>36850</v>
      </c>
      <c r="I20" s="34">
        <f aca="true" t="shared" si="7" ref="I20:I49">H20-$E$5</f>
        <v>-4440</v>
      </c>
      <c r="J20" s="48">
        <f aca="true" t="shared" si="8" ref="J20:J49">I20/$E$13</f>
        <v>-0.11550468262226847</v>
      </c>
      <c r="K20" s="52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ht="12.75">
      <c r="A21" s="47">
        <f>TRUNC($B$5)-13</f>
        <v>69</v>
      </c>
      <c r="B21" s="34">
        <f t="shared" si="0"/>
        <v>34500</v>
      </c>
      <c r="C21" s="34">
        <f t="shared" si="1"/>
        <v>-6790</v>
      </c>
      <c r="D21" s="42">
        <f t="shared" si="2"/>
        <v>-0.16444659723904093</v>
      </c>
      <c r="E21" s="34">
        <f t="shared" si="3"/>
        <v>0</v>
      </c>
      <c r="F21" s="34">
        <f t="shared" si="4"/>
        <v>-4050.000000000001</v>
      </c>
      <c r="G21" s="42">
        <f t="shared" si="5"/>
        <v>-1</v>
      </c>
      <c r="H21" s="34">
        <f t="shared" si="6"/>
        <v>37350</v>
      </c>
      <c r="I21" s="34">
        <f t="shared" si="7"/>
        <v>-3940</v>
      </c>
      <c r="J21" s="48">
        <f t="shared" si="8"/>
        <v>-0.10249739854318418</v>
      </c>
      <c r="K21" s="52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2.75">
      <c r="A22" s="47">
        <f>TRUNC($B$5)-12</f>
        <v>70</v>
      </c>
      <c r="B22" s="34">
        <f t="shared" si="0"/>
        <v>35000</v>
      </c>
      <c r="C22" s="34">
        <f t="shared" si="1"/>
        <v>-6290</v>
      </c>
      <c r="D22" s="42">
        <f t="shared" si="2"/>
        <v>-0.15233712763380963</v>
      </c>
      <c r="E22" s="34">
        <f t="shared" si="3"/>
        <v>0</v>
      </c>
      <c r="F22" s="34">
        <f t="shared" si="4"/>
        <v>-4050.000000000001</v>
      </c>
      <c r="G22" s="42">
        <f t="shared" si="5"/>
        <v>-1</v>
      </c>
      <c r="H22" s="34">
        <f t="shared" si="6"/>
        <v>37850</v>
      </c>
      <c r="I22" s="34">
        <f t="shared" si="7"/>
        <v>-3440</v>
      </c>
      <c r="J22" s="48">
        <f t="shared" si="8"/>
        <v>-0.08949011446409989</v>
      </c>
      <c r="K22" s="52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2.75">
      <c r="A23" s="47">
        <f>TRUNC($B$5)-11</f>
        <v>71</v>
      </c>
      <c r="B23" s="34">
        <f t="shared" si="0"/>
        <v>35500</v>
      </c>
      <c r="C23" s="34">
        <f t="shared" si="1"/>
        <v>-5790</v>
      </c>
      <c r="D23" s="42">
        <f t="shared" si="2"/>
        <v>-0.14022765802857834</v>
      </c>
      <c r="E23" s="34">
        <f t="shared" si="3"/>
        <v>500</v>
      </c>
      <c r="F23" s="34">
        <f t="shared" si="4"/>
        <v>-3550.000000000001</v>
      </c>
      <c r="G23" s="42">
        <f t="shared" si="5"/>
        <v>-0.8765432098765432</v>
      </c>
      <c r="H23" s="34">
        <f t="shared" si="6"/>
        <v>38350</v>
      </c>
      <c r="I23" s="34">
        <f t="shared" si="7"/>
        <v>-2940</v>
      </c>
      <c r="J23" s="48">
        <f t="shared" si="8"/>
        <v>-0.0764828303850156</v>
      </c>
      <c r="K23" s="52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12.75">
      <c r="A24" s="47">
        <f>TRUNC($B$5)-10</f>
        <v>72</v>
      </c>
      <c r="B24" s="34">
        <f t="shared" si="0"/>
        <v>36000</v>
      </c>
      <c r="C24" s="34">
        <f t="shared" si="1"/>
        <v>-5290</v>
      </c>
      <c r="D24" s="42">
        <f t="shared" si="2"/>
        <v>-0.12811818842334705</v>
      </c>
      <c r="E24" s="34">
        <f t="shared" si="3"/>
        <v>1000</v>
      </c>
      <c r="F24" s="34">
        <f>E24-$E$10</f>
        <v>-3050.000000000001</v>
      </c>
      <c r="G24" s="42">
        <f t="shared" si="5"/>
        <v>-0.7530864197530864</v>
      </c>
      <c r="H24" s="34">
        <f t="shared" si="6"/>
        <v>38850</v>
      </c>
      <c r="I24" s="34">
        <f t="shared" si="7"/>
        <v>-2440</v>
      </c>
      <c r="J24" s="48">
        <f t="shared" si="8"/>
        <v>-0.06347554630593132</v>
      </c>
      <c r="K24" s="52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1:32" ht="12.75">
      <c r="A25" s="47">
        <f>TRUNC($B$5)-9</f>
        <v>73</v>
      </c>
      <c r="B25" s="34">
        <f t="shared" si="0"/>
        <v>36500</v>
      </c>
      <c r="C25" s="34">
        <f t="shared" si="1"/>
        <v>-4790</v>
      </c>
      <c r="D25" s="42">
        <f t="shared" si="2"/>
        <v>-0.11600871881811577</v>
      </c>
      <c r="E25" s="34">
        <f t="shared" si="3"/>
        <v>1500</v>
      </c>
      <c r="F25" s="34">
        <f t="shared" si="4"/>
        <v>-2550.000000000001</v>
      </c>
      <c r="G25" s="42">
        <f t="shared" si="5"/>
        <v>-0.6296296296296298</v>
      </c>
      <c r="H25" s="34">
        <f t="shared" si="6"/>
        <v>39350</v>
      </c>
      <c r="I25" s="34">
        <f t="shared" si="7"/>
        <v>-1940</v>
      </c>
      <c r="J25" s="48">
        <f t="shared" si="8"/>
        <v>-0.050468262226847034</v>
      </c>
      <c r="K25" s="52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ht="12.75">
      <c r="A26" s="47">
        <f>TRUNC($B$5)-8</f>
        <v>74</v>
      </c>
      <c r="B26" s="34">
        <f t="shared" si="0"/>
        <v>37000</v>
      </c>
      <c r="C26" s="34">
        <f t="shared" si="1"/>
        <v>-4290</v>
      </c>
      <c r="D26" s="42">
        <f t="shared" si="2"/>
        <v>-0.10389924921288447</v>
      </c>
      <c r="E26" s="34">
        <f t="shared" si="3"/>
        <v>2000</v>
      </c>
      <c r="F26" s="34">
        <f t="shared" si="4"/>
        <v>-2050.000000000001</v>
      </c>
      <c r="G26" s="42">
        <f t="shared" si="5"/>
        <v>-0.506172839506173</v>
      </c>
      <c r="H26" s="34">
        <f t="shared" si="6"/>
        <v>39850</v>
      </c>
      <c r="I26" s="34">
        <f t="shared" si="7"/>
        <v>-1440</v>
      </c>
      <c r="J26" s="48">
        <f t="shared" si="8"/>
        <v>-0.037460978147762745</v>
      </c>
      <c r="K26" s="52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ht="12.75">
      <c r="A27" s="47">
        <f>TRUNC($B$5)-7</f>
        <v>75</v>
      </c>
      <c r="B27" s="34">
        <f t="shared" si="0"/>
        <v>37500</v>
      </c>
      <c r="C27" s="34">
        <f t="shared" si="1"/>
        <v>-3790</v>
      </c>
      <c r="D27" s="42">
        <f t="shared" si="2"/>
        <v>-0.09178977960765318</v>
      </c>
      <c r="E27" s="34">
        <f t="shared" si="3"/>
        <v>2500</v>
      </c>
      <c r="F27" s="34">
        <f t="shared" si="4"/>
        <v>-1550.000000000001</v>
      </c>
      <c r="G27" s="42">
        <f t="shared" si="5"/>
        <v>-0.3827160493827162</v>
      </c>
      <c r="H27" s="34">
        <f t="shared" si="6"/>
        <v>40350</v>
      </c>
      <c r="I27" s="34">
        <f t="shared" si="7"/>
        <v>-940</v>
      </c>
      <c r="J27" s="48">
        <f t="shared" si="8"/>
        <v>-0.02445369406867846</v>
      </c>
      <c r="K27" s="52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1:32" ht="12.75">
      <c r="A28" s="47">
        <f>TRUNC($B$5)-6</f>
        <v>76</v>
      </c>
      <c r="B28" s="34">
        <f t="shared" si="0"/>
        <v>38000</v>
      </c>
      <c r="C28" s="34">
        <f t="shared" si="1"/>
        <v>-3290</v>
      </c>
      <c r="D28" s="42">
        <f t="shared" si="2"/>
        <v>-0.0796803100024219</v>
      </c>
      <c r="E28" s="34">
        <f t="shared" si="3"/>
        <v>3000</v>
      </c>
      <c r="F28" s="34">
        <f t="shared" si="4"/>
        <v>-1050.000000000001</v>
      </c>
      <c r="G28" s="42">
        <f t="shared" si="5"/>
        <v>-0.2592592592592594</v>
      </c>
      <c r="H28" s="34">
        <f t="shared" si="6"/>
        <v>40850</v>
      </c>
      <c r="I28" s="34">
        <f t="shared" si="7"/>
        <v>-440</v>
      </c>
      <c r="J28" s="48">
        <f t="shared" si="8"/>
        <v>-0.011446409989594173</v>
      </c>
      <c r="K28" s="52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1:32" ht="12.75">
      <c r="A29" s="47">
        <f>TRUNC($B$5)-5</f>
        <v>77</v>
      </c>
      <c r="B29" s="34">
        <f t="shared" si="0"/>
        <v>38500</v>
      </c>
      <c r="C29" s="34">
        <f t="shared" si="1"/>
        <v>-2790</v>
      </c>
      <c r="D29" s="42">
        <f t="shared" si="2"/>
        <v>-0.0675708403971906</v>
      </c>
      <c r="E29" s="34">
        <f t="shared" si="3"/>
        <v>3500</v>
      </c>
      <c r="F29" s="34">
        <f t="shared" si="4"/>
        <v>-550.0000000000009</v>
      </c>
      <c r="G29" s="42">
        <f t="shared" si="5"/>
        <v>-0.13580246913580266</v>
      </c>
      <c r="H29" s="34">
        <f t="shared" si="6"/>
        <v>41350</v>
      </c>
      <c r="I29" s="34">
        <f t="shared" si="7"/>
        <v>60</v>
      </c>
      <c r="J29" s="48">
        <f t="shared" si="8"/>
        <v>0.0015608740894901144</v>
      </c>
      <c r="K29" s="5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1:32" ht="12.75">
      <c r="A30" s="47">
        <f>TRUNC($B$5)-4</f>
        <v>78</v>
      </c>
      <c r="B30" s="34">
        <f t="shared" si="0"/>
        <v>39000</v>
      </c>
      <c r="C30" s="34">
        <f t="shared" si="1"/>
        <v>-2290</v>
      </c>
      <c r="D30" s="42">
        <f t="shared" si="2"/>
        <v>-0.055461370791959314</v>
      </c>
      <c r="E30" s="34">
        <f t="shared" si="3"/>
        <v>4000</v>
      </c>
      <c r="F30" s="34">
        <f t="shared" si="4"/>
        <v>-50.00000000000091</v>
      </c>
      <c r="G30" s="42">
        <f t="shared" si="5"/>
        <v>-0.0123456790123459</v>
      </c>
      <c r="H30" s="34">
        <f t="shared" si="6"/>
        <v>41850</v>
      </c>
      <c r="I30" s="34">
        <f t="shared" si="7"/>
        <v>560</v>
      </c>
      <c r="J30" s="48">
        <f t="shared" si="8"/>
        <v>0.014568158168574402</v>
      </c>
      <c r="K30" s="5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2.75">
      <c r="A31" s="47">
        <f>TRUNC($B$5)-3</f>
        <v>79</v>
      </c>
      <c r="B31" s="34">
        <f t="shared" si="0"/>
        <v>39500</v>
      </c>
      <c r="C31" s="34">
        <f t="shared" si="1"/>
        <v>-1790</v>
      </c>
      <c r="D31" s="42">
        <f t="shared" si="2"/>
        <v>-0.04335190118672802</v>
      </c>
      <c r="E31" s="34">
        <f t="shared" si="3"/>
        <v>4500</v>
      </c>
      <c r="F31" s="34">
        <f t="shared" si="4"/>
        <v>449.9999999999991</v>
      </c>
      <c r="G31" s="42">
        <f t="shared" si="5"/>
        <v>0.11111111111111086</v>
      </c>
      <c r="H31" s="34">
        <f t="shared" si="6"/>
        <v>42350</v>
      </c>
      <c r="I31" s="34">
        <f t="shared" si="7"/>
        <v>1060</v>
      </c>
      <c r="J31" s="48">
        <f t="shared" si="8"/>
        <v>0.027575442247658687</v>
      </c>
      <c r="K31" s="52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</row>
    <row r="32" spans="1:32" ht="12.75">
      <c r="A32" s="47">
        <f>TRUNC($B$5)-2</f>
        <v>80</v>
      </c>
      <c r="B32" s="34">
        <f t="shared" si="0"/>
        <v>40000</v>
      </c>
      <c r="C32" s="34">
        <f t="shared" si="1"/>
        <v>-1290</v>
      </c>
      <c r="D32" s="42">
        <f t="shared" si="2"/>
        <v>-0.03124243158149673</v>
      </c>
      <c r="E32" s="34">
        <f t="shared" si="3"/>
        <v>5000</v>
      </c>
      <c r="F32" s="34">
        <f t="shared" si="4"/>
        <v>949.9999999999991</v>
      </c>
      <c r="G32" s="42">
        <f t="shared" si="5"/>
        <v>0.2345679012345676</v>
      </c>
      <c r="H32" s="34">
        <f t="shared" si="6"/>
        <v>42850</v>
      </c>
      <c r="I32" s="34">
        <f t="shared" si="7"/>
        <v>1560</v>
      </c>
      <c r="J32" s="48">
        <f t="shared" si="8"/>
        <v>0.04058272632674298</v>
      </c>
      <c r="K32" s="52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 spans="1:32" ht="12.75">
      <c r="A33" s="47">
        <f>TRUNC($B$5)-1</f>
        <v>81</v>
      </c>
      <c r="B33" s="34">
        <f t="shared" si="0"/>
        <v>40500</v>
      </c>
      <c r="C33" s="34">
        <f t="shared" si="1"/>
        <v>-790</v>
      </c>
      <c r="D33" s="42">
        <f t="shared" si="2"/>
        <v>-0.01913296197626544</v>
      </c>
      <c r="E33" s="34">
        <f t="shared" si="3"/>
        <v>5000</v>
      </c>
      <c r="F33" s="34">
        <f t="shared" si="4"/>
        <v>949.9999999999991</v>
      </c>
      <c r="G33" s="42">
        <f t="shared" si="5"/>
        <v>0.2345679012345676</v>
      </c>
      <c r="H33" s="34">
        <f t="shared" si="6"/>
        <v>42850</v>
      </c>
      <c r="I33" s="34">
        <f t="shared" si="7"/>
        <v>1560</v>
      </c>
      <c r="J33" s="48">
        <f t="shared" si="8"/>
        <v>0.04058272632674298</v>
      </c>
      <c r="K33" s="52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2" ht="12.75">
      <c r="A34" s="47">
        <f>TRUNC($B$5)</f>
        <v>82</v>
      </c>
      <c r="B34" s="34">
        <f t="shared" si="0"/>
        <v>41000</v>
      </c>
      <c r="C34" s="34">
        <f t="shared" si="1"/>
        <v>-290</v>
      </c>
      <c r="D34" s="42">
        <f t="shared" si="2"/>
        <v>-0.007023492371034149</v>
      </c>
      <c r="E34" s="34">
        <f aca="true" t="shared" si="9" ref="E34:E49">IF(A34&lt;=$B$8,0,IF(A34&lt;=$B$11,(A34-$B$8)*$B$15*100,($B$11-$B$8)*$B$15*100))</f>
        <v>5000</v>
      </c>
      <c r="F34" s="34">
        <f t="shared" si="4"/>
        <v>949.9999999999991</v>
      </c>
      <c r="G34" s="42">
        <f t="shared" si="5"/>
        <v>0.2345679012345676</v>
      </c>
      <c r="H34" s="34">
        <f aca="true" t="shared" si="10" ref="H34:H49">IF(A34&lt;=$B$11,$B$6*A34+$E$15*100*$B$10,($B$6*A34+$E$15*100*$B$10-(A34-$B$11)*$B$6))</f>
        <v>42850</v>
      </c>
      <c r="I34" s="34">
        <f t="shared" si="7"/>
        <v>1560</v>
      </c>
      <c r="J34" s="48">
        <f t="shared" si="8"/>
        <v>0.04058272632674298</v>
      </c>
      <c r="K34" s="52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</row>
    <row r="35" spans="1:32" ht="12.75">
      <c r="A35" s="47">
        <f>TRUNC($B$5)+1</f>
        <v>83</v>
      </c>
      <c r="B35" s="34">
        <f t="shared" si="0"/>
        <v>41500</v>
      </c>
      <c r="C35" s="34">
        <f t="shared" si="1"/>
        <v>210</v>
      </c>
      <c r="D35" s="42">
        <f t="shared" si="2"/>
        <v>0.005085977234197142</v>
      </c>
      <c r="E35" s="34">
        <f t="shared" si="9"/>
        <v>5000</v>
      </c>
      <c r="F35" s="34">
        <f t="shared" si="4"/>
        <v>949.9999999999991</v>
      </c>
      <c r="G35" s="42">
        <f t="shared" si="5"/>
        <v>0.2345679012345676</v>
      </c>
      <c r="H35" s="34">
        <f t="shared" si="10"/>
        <v>42850</v>
      </c>
      <c r="I35" s="34">
        <f t="shared" si="7"/>
        <v>1560</v>
      </c>
      <c r="J35" s="48">
        <f t="shared" si="8"/>
        <v>0.04058272632674298</v>
      </c>
      <c r="K35" s="52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</row>
    <row r="36" spans="1:32" ht="12.75">
      <c r="A36" s="47">
        <f>TRUNC($B$5)+2</f>
        <v>84</v>
      </c>
      <c r="B36" s="34">
        <f t="shared" si="0"/>
        <v>42000</v>
      </c>
      <c r="C36" s="34">
        <f t="shared" si="1"/>
        <v>710</v>
      </c>
      <c r="D36" s="42">
        <f t="shared" si="2"/>
        <v>0.017195446839428433</v>
      </c>
      <c r="E36" s="34">
        <f t="shared" si="9"/>
        <v>5000</v>
      </c>
      <c r="F36" s="34">
        <f t="shared" si="4"/>
        <v>949.9999999999991</v>
      </c>
      <c r="G36" s="42">
        <f t="shared" si="5"/>
        <v>0.2345679012345676</v>
      </c>
      <c r="H36" s="34">
        <f t="shared" si="10"/>
        <v>42850</v>
      </c>
      <c r="I36" s="34">
        <f t="shared" si="7"/>
        <v>1560</v>
      </c>
      <c r="J36" s="48">
        <f t="shared" si="8"/>
        <v>0.04058272632674298</v>
      </c>
      <c r="K36" s="52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</row>
    <row r="37" spans="1:32" ht="12.75">
      <c r="A37" s="47">
        <f>TRUNC($B$5)+3</f>
        <v>85</v>
      </c>
      <c r="B37" s="34">
        <f t="shared" si="0"/>
        <v>42500</v>
      </c>
      <c r="C37" s="34">
        <f t="shared" si="1"/>
        <v>1210</v>
      </c>
      <c r="D37" s="42">
        <f t="shared" si="2"/>
        <v>0.029304916444659723</v>
      </c>
      <c r="E37" s="34">
        <f t="shared" si="9"/>
        <v>5000</v>
      </c>
      <c r="F37" s="34">
        <f t="shared" si="4"/>
        <v>949.9999999999991</v>
      </c>
      <c r="G37" s="42">
        <f t="shared" si="5"/>
        <v>0.2345679012345676</v>
      </c>
      <c r="H37" s="34">
        <f t="shared" si="10"/>
        <v>42850</v>
      </c>
      <c r="I37" s="34">
        <f t="shared" si="7"/>
        <v>1560</v>
      </c>
      <c r="J37" s="48">
        <f t="shared" si="8"/>
        <v>0.04058272632674298</v>
      </c>
      <c r="K37" s="52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</row>
    <row r="38" spans="1:32" ht="12.75">
      <c r="A38" s="47">
        <f>TRUNC($B$5)+4</f>
        <v>86</v>
      </c>
      <c r="B38" s="34">
        <f t="shared" si="0"/>
        <v>43000</v>
      </c>
      <c r="C38" s="34">
        <f t="shared" si="1"/>
        <v>1710</v>
      </c>
      <c r="D38" s="42">
        <f t="shared" si="2"/>
        <v>0.04141438604989101</v>
      </c>
      <c r="E38" s="34">
        <f t="shared" si="9"/>
        <v>5000</v>
      </c>
      <c r="F38" s="34">
        <f t="shared" si="4"/>
        <v>949.9999999999991</v>
      </c>
      <c r="G38" s="42">
        <f t="shared" si="5"/>
        <v>0.2345679012345676</v>
      </c>
      <c r="H38" s="34">
        <f t="shared" si="10"/>
        <v>42850</v>
      </c>
      <c r="I38" s="34">
        <f t="shared" si="7"/>
        <v>1560</v>
      </c>
      <c r="J38" s="48">
        <f t="shared" si="8"/>
        <v>0.04058272632674298</v>
      </c>
      <c r="K38" s="52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</row>
    <row r="39" spans="1:32" ht="12.75">
      <c r="A39" s="47">
        <f>TRUNC($B$5)+5</f>
        <v>87</v>
      </c>
      <c r="B39" s="34">
        <f t="shared" si="0"/>
        <v>43500</v>
      </c>
      <c r="C39" s="34">
        <f t="shared" si="1"/>
        <v>2210</v>
      </c>
      <c r="D39" s="42">
        <f t="shared" si="2"/>
        <v>0.053523855655122306</v>
      </c>
      <c r="E39" s="34">
        <f t="shared" si="9"/>
        <v>5000</v>
      </c>
      <c r="F39" s="34">
        <f t="shared" si="4"/>
        <v>949.9999999999991</v>
      </c>
      <c r="G39" s="42">
        <f t="shared" si="5"/>
        <v>0.2345679012345676</v>
      </c>
      <c r="H39" s="34">
        <f t="shared" si="10"/>
        <v>42850</v>
      </c>
      <c r="I39" s="34">
        <f t="shared" si="7"/>
        <v>1560</v>
      </c>
      <c r="J39" s="48">
        <f t="shared" si="8"/>
        <v>0.04058272632674298</v>
      </c>
      <c r="K39" s="52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</row>
    <row r="40" spans="1:32" ht="12.75">
      <c r="A40" s="47">
        <f>TRUNC($B$5)+6</f>
        <v>88</v>
      </c>
      <c r="B40" s="34">
        <f t="shared" si="0"/>
        <v>44000</v>
      </c>
      <c r="C40" s="34">
        <f t="shared" si="1"/>
        <v>2710</v>
      </c>
      <c r="D40" s="42">
        <f t="shared" si="2"/>
        <v>0.06563332526035359</v>
      </c>
      <c r="E40" s="34">
        <f t="shared" si="9"/>
        <v>5000</v>
      </c>
      <c r="F40" s="34">
        <f t="shared" si="4"/>
        <v>949.9999999999991</v>
      </c>
      <c r="G40" s="42">
        <f t="shared" si="5"/>
        <v>0.2345679012345676</v>
      </c>
      <c r="H40" s="34">
        <f t="shared" si="10"/>
        <v>42850</v>
      </c>
      <c r="I40" s="34">
        <f t="shared" si="7"/>
        <v>1560</v>
      </c>
      <c r="J40" s="48">
        <f t="shared" si="8"/>
        <v>0.04058272632674298</v>
      </c>
      <c r="K40" s="52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</row>
    <row r="41" spans="1:32" ht="12.75">
      <c r="A41" s="47">
        <f>TRUNC($B$5)+7</f>
        <v>89</v>
      </c>
      <c r="B41" s="34">
        <f t="shared" si="0"/>
        <v>44500</v>
      </c>
      <c r="C41" s="34">
        <f t="shared" si="1"/>
        <v>3210</v>
      </c>
      <c r="D41" s="42">
        <f t="shared" si="2"/>
        <v>0.07774279486558489</v>
      </c>
      <c r="E41" s="34">
        <f t="shared" si="9"/>
        <v>5000</v>
      </c>
      <c r="F41" s="34">
        <f t="shared" si="4"/>
        <v>949.9999999999991</v>
      </c>
      <c r="G41" s="42">
        <f t="shared" si="5"/>
        <v>0.2345679012345676</v>
      </c>
      <c r="H41" s="34">
        <f t="shared" si="10"/>
        <v>42850</v>
      </c>
      <c r="I41" s="34">
        <f t="shared" si="7"/>
        <v>1560</v>
      </c>
      <c r="J41" s="48">
        <f t="shared" si="8"/>
        <v>0.04058272632674298</v>
      </c>
      <c r="K41" s="52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</row>
    <row r="42" spans="1:32" ht="12.75">
      <c r="A42" s="47">
        <f>TRUNC($B$5)+8</f>
        <v>90</v>
      </c>
      <c r="B42" s="34">
        <f t="shared" si="0"/>
        <v>45000</v>
      </c>
      <c r="C42" s="34">
        <f t="shared" si="1"/>
        <v>3710</v>
      </c>
      <c r="D42" s="42">
        <f t="shared" si="2"/>
        <v>0.08985226447081618</v>
      </c>
      <c r="E42" s="34">
        <f t="shared" si="9"/>
        <v>5000</v>
      </c>
      <c r="F42" s="34">
        <f t="shared" si="4"/>
        <v>949.9999999999991</v>
      </c>
      <c r="G42" s="42">
        <f t="shared" si="5"/>
        <v>0.2345679012345676</v>
      </c>
      <c r="H42" s="34">
        <f t="shared" si="10"/>
        <v>42850</v>
      </c>
      <c r="I42" s="34">
        <f t="shared" si="7"/>
        <v>1560</v>
      </c>
      <c r="J42" s="48">
        <f t="shared" si="8"/>
        <v>0.04058272632674298</v>
      </c>
      <c r="K42" s="52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</row>
    <row r="43" spans="1:32" ht="12.75">
      <c r="A43" s="47">
        <f>TRUNC($B$5)+9</f>
        <v>91</v>
      </c>
      <c r="B43" s="34">
        <f t="shared" si="0"/>
        <v>45500</v>
      </c>
      <c r="C43" s="34">
        <f t="shared" si="1"/>
        <v>4210</v>
      </c>
      <c r="D43" s="42">
        <f t="shared" si="2"/>
        <v>0.10196173407604747</v>
      </c>
      <c r="E43" s="34">
        <f t="shared" si="9"/>
        <v>5000</v>
      </c>
      <c r="F43" s="34">
        <f t="shared" si="4"/>
        <v>949.9999999999991</v>
      </c>
      <c r="G43" s="42">
        <f t="shared" si="5"/>
        <v>0.2345679012345676</v>
      </c>
      <c r="H43" s="34">
        <f t="shared" si="10"/>
        <v>42850</v>
      </c>
      <c r="I43" s="34">
        <f t="shared" si="7"/>
        <v>1560</v>
      </c>
      <c r="J43" s="48">
        <f t="shared" si="8"/>
        <v>0.04058272632674298</v>
      </c>
      <c r="K43" s="52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</row>
    <row r="44" spans="1:32" ht="12.75">
      <c r="A44" s="47">
        <f>TRUNC($B$5)+10</f>
        <v>92</v>
      </c>
      <c r="B44" s="34">
        <f t="shared" si="0"/>
        <v>46000</v>
      </c>
      <c r="C44" s="34">
        <f t="shared" si="1"/>
        <v>4710</v>
      </c>
      <c r="D44" s="42">
        <f t="shared" si="2"/>
        <v>0.11407120368127877</v>
      </c>
      <c r="E44" s="34">
        <f t="shared" si="9"/>
        <v>5000</v>
      </c>
      <c r="F44" s="34">
        <f t="shared" si="4"/>
        <v>949.9999999999991</v>
      </c>
      <c r="G44" s="42">
        <f t="shared" si="5"/>
        <v>0.2345679012345676</v>
      </c>
      <c r="H44" s="34">
        <f t="shared" si="10"/>
        <v>42850</v>
      </c>
      <c r="I44" s="34">
        <f t="shared" si="7"/>
        <v>1560</v>
      </c>
      <c r="J44" s="48">
        <f t="shared" si="8"/>
        <v>0.04058272632674298</v>
      </c>
      <c r="K44" s="52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</row>
    <row r="45" spans="1:32" ht="12.75">
      <c r="A45" s="47">
        <f>TRUNC($B$5)+11</f>
        <v>93</v>
      </c>
      <c r="B45" s="34">
        <f t="shared" si="0"/>
        <v>46500</v>
      </c>
      <c r="C45" s="34">
        <f t="shared" si="1"/>
        <v>5210</v>
      </c>
      <c r="D45" s="42">
        <f t="shared" si="2"/>
        <v>0.12618067328651006</v>
      </c>
      <c r="E45" s="34">
        <f t="shared" si="9"/>
        <v>5000</v>
      </c>
      <c r="F45" s="34">
        <f t="shared" si="4"/>
        <v>949.9999999999991</v>
      </c>
      <c r="G45" s="42">
        <f t="shared" si="5"/>
        <v>0.2345679012345676</v>
      </c>
      <c r="H45" s="34">
        <f t="shared" si="10"/>
        <v>42850</v>
      </c>
      <c r="I45" s="34">
        <f t="shared" si="7"/>
        <v>1560</v>
      </c>
      <c r="J45" s="48">
        <f t="shared" si="8"/>
        <v>0.04058272632674298</v>
      </c>
      <c r="K45" s="52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</row>
    <row r="46" spans="1:32" ht="12.75">
      <c r="A46" s="47">
        <f>TRUNC($B$5)+12</f>
        <v>94</v>
      </c>
      <c r="B46" s="34">
        <f t="shared" si="0"/>
        <v>47000</v>
      </c>
      <c r="C46" s="34">
        <f t="shared" si="1"/>
        <v>5710</v>
      </c>
      <c r="D46" s="42">
        <f t="shared" si="2"/>
        <v>0.13829014289174135</v>
      </c>
      <c r="E46" s="34">
        <f t="shared" si="9"/>
        <v>5000</v>
      </c>
      <c r="F46" s="34">
        <f t="shared" si="4"/>
        <v>949.9999999999991</v>
      </c>
      <c r="G46" s="42">
        <f t="shared" si="5"/>
        <v>0.2345679012345676</v>
      </c>
      <c r="H46" s="34">
        <f t="shared" si="10"/>
        <v>42850</v>
      </c>
      <c r="I46" s="34">
        <f t="shared" si="7"/>
        <v>1560</v>
      </c>
      <c r="J46" s="48">
        <f t="shared" si="8"/>
        <v>0.04058272632674298</v>
      </c>
      <c r="K46" s="52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</row>
    <row r="47" spans="1:32" ht="12.75">
      <c r="A47" s="47">
        <f>TRUNC($B$5)+13</f>
        <v>95</v>
      </c>
      <c r="B47" s="34">
        <f t="shared" si="0"/>
        <v>47500</v>
      </c>
      <c r="C47" s="34">
        <f t="shared" si="1"/>
        <v>6210</v>
      </c>
      <c r="D47" s="42">
        <f t="shared" si="2"/>
        <v>0.15039961249697265</v>
      </c>
      <c r="E47" s="34">
        <f t="shared" si="9"/>
        <v>5000</v>
      </c>
      <c r="F47" s="34">
        <f t="shared" si="4"/>
        <v>949.9999999999991</v>
      </c>
      <c r="G47" s="42">
        <f t="shared" si="5"/>
        <v>0.2345679012345676</v>
      </c>
      <c r="H47" s="34">
        <f t="shared" si="10"/>
        <v>42850</v>
      </c>
      <c r="I47" s="34">
        <f t="shared" si="7"/>
        <v>1560</v>
      </c>
      <c r="J47" s="48">
        <f t="shared" si="8"/>
        <v>0.04058272632674298</v>
      </c>
      <c r="K47" s="52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</row>
    <row r="48" spans="1:32" ht="12.75">
      <c r="A48" s="47">
        <f>TRUNC($B$5)+14</f>
        <v>96</v>
      </c>
      <c r="B48" s="34">
        <f t="shared" si="0"/>
        <v>48000</v>
      </c>
      <c r="C48" s="34">
        <f t="shared" si="1"/>
        <v>6710</v>
      </c>
      <c r="D48" s="42">
        <f t="shared" si="2"/>
        <v>0.1625090821022039</v>
      </c>
      <c r="E48" s="34">
        <f t="shared" si="9"/>
        <v>5000</v>
      </c>
      <c r="F48" s="34">
        <f t="shared" si="4"/>
        <v>949.9999999999991</v>
      </c>
      <c r="G48" s="42">
        <f t="shared" si="5"/>
        <v>0.2345679012345676</v>
      </c>
      <c r="H48" s="34">
        <f t="shared" si="10"/>
        <v>42850</v>
      </c>
      <c r="I48" s="34">
        <f t="shared" si="7"/>
        <v>1560</v>
      </c>
      <c r="J48" s="48">
        <f t="shared" si="8"/>
        <v>0.04058272632674298</v>
      </c>
      <c r="K48" s="52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</row>
    <row r="49" spans="1:32" ht="13.5" thickBot="1">
      <c r="A49" s="49">
        <f>TRUNC($B$5)+15</f>
        <v>97</v>
      </c>
      <c r="B49" s="35">
        <f t="shared" si="0"/>
        <v>48500</v>
      </c>
      <c r="C49" s="35">
        <f t="shared" si="1"/>
        <v>7210</v>
      </c>
      <c r="D49" s="50">
        <f t="shared" si="2"/>
        <v>0.1746185517074352</v>
      </c>
      <c r="E49" s="35">
        <f t="shared" si="9"/>
        <v>5000</v>
      </c>
      <c r="F49" s="35">
        <f t="shared" si="4"/>
        <v>949.9999999999991</v>
      </c>
      <c r="G49" s="50">
        <f t="shared" si="5"/>
        <v>0.2345679012345676</v>
      </c>
      <c r="H49" s="35">
        <f t="shared" si="10"/>
        <v>42850</v>
      </c>
      <c r="I49" s="35">
        <f t="shared" si="7"/>
        <v>1560</v>
      </c>
      <c r="J49" s="51">
        <f t="shared" si="8"/>
        <v>0.04058272632674298</v>
      </c>
      <c r="K49" s="43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</row>
    <row r="50" spans="1:32" ht="12.75">
      <c r="A50" s="37"/>
      <c r="B50" s="38"/>
      <c r="C50" s="38"/>
      <c r="D50" s="39"/>
      <c r="E50" s="38"/>
      <c r="F50" s="38"/>
      <c r="G50" s="39"/>
      <c r="H50" s="38"/>
      <c r="I50" s="38"/>
      <c r="J50" s="39"/>
      <c r="K50" s="40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</row>
    <row r="51" spans="1:3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</row>
    <row r="52" spans="1:3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</row>
    <row r="53" spans="1:3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</row>
    <row r="54" spans="1:3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</row>
    <row r="55" spans="1:3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</row>
    <row r="56" spans="1:3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</row>
    <row r="57" spans="1:3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</row>
    <row r="58" spans="1:3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</row>
    <row r="59" spans="1:3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</row>
    <row r="60" spans="1:3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</row>
    <row r="61" spans="1:3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</row>
    <row r="62" spans="1:3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</row>
    <row r="63" spans="1:3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</row>
    <row r="64" spans="1:3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</row>
    <row r="65" spans="1:3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</row>
    <row r="66" spans="1:3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</row>
    <row r="67" spans="1:3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</row>
    <row r="68" spans="1:3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</row>
    <row r="69" spans="1:3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</row>
  </sheetData>
  <mergeCells count="1">
    <mergeCell ref="A17:J17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Richard W Miller</cp:lastModifiedBy>
  <dcterms:created xsi:type="dcterms:W3CDTF">2004-10-19T12:39:20Z</dcterms:created>
  <dcterms:modified xsi:type="dcterms:W3CDTF">2005-07-29T04:04:25Z</dcterms:modified>
  <cp:category/>
  <cp:version/>
  <cp:contentType/>
  <cp:contentStatus/>
</cp:coreProperties>
</file>